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65" yWindow="-15" windowWidth="7650" windowHeight="9495" tabRatio="773"/>
  </bookViews>
  <sheets>
    <sheet name="Resumo" sheetId="6" r:id="rId1"/>
    <sheet name="Dados Perfil" sheetId="7" r:id="rId2"/>
    <sheet name="defor" sheetId="1" r:id="rId3"/>
    <sheet name="cargas" sheetId="4" r:id="rId4"/>
    <sheet name="Esmagamento" sheetId="2" r:id="rId5"/>
    <sheet name="Flambagem" sheetId="3" r:id="rId6"/>
    <sheet name="Deformacao parede" sheetId="5" r:id="rId7"/>
  </sheets>
  <calcPr calcId="125725"/>
</workbook>
</file>

<file path=xl/calcChain.xml><?xml version="1.0" encoding="utf-8"?>
<calcChain xmlns="http://schemas.openxmlformats.org/spreadsheetml/2006/main">
  <c r="B9" i="6"/>
  <c r="B10" s="1"/>
  <c r="C10" i="4"/>
  <c r="C31"/>
  <c r="C33"/>
  <c r="C32"/>
  <c r="C8"/>
  <c r="C17"/>
  <c r="C18"/>
  <c r="C14"/>
  <c r="B20" i="6" s="1"/>
  <c r="A3" i="7"/>
  <c r="D3"/>
  <c r="E3"/>
  <c r="F3"/>
  <c r="G3"/>
  <c r="A4"/>
  <c r="A6" s="1"/>
  <c r="D4"/>
  <c r="E4"/>
  <c r="E6" s="1"/>
  <c r="A5"/>
  <c r="D5"/>
  <c r="E5"/>
  <c r="F5"/>
  <c r="D6"/>
  <c r="F6"/>
  <c r="C12" i="2"/>
  <c r="C7" i="4"/>
  <c r="E7" s="1"/>
  <c r="B25" i="7"/>
  <c r="C25"/>
  <c r="D25"/>
  <c r="B24"/>
  <c r="C24"/>
  <c r="D24" s="1"/>
  <c r="B23"/>
  <c r="C23"/>
  <c r="D23"/>
  <c r="B22"/>
  <c r="C22"/>
  <c r="D22" s="1"/>
  <c r="B21"/>
  <c r="C21"/>
  <c r="D21"/>
  <c r="B20"/>
  <c r="C20"/>
  <c r="D20" s="1"/>
  <c r="B19"/>
  <c r="C19"/>
  <c r="D19"/>
  <c r="B18"/>
  <c r="C18"/>
  <c r="D18" s="1"/>
  <c r="B17"/>
  <c r="C17"/>
  <c r="D17"/>
  <c r="B16"/>
  <c r="C16"/>
  <c r="D16" s="1"/>
  <c r="B15"/>
  <c r="C15"/>
  <c r="D15"/>
  <c r="B14"/>
  <c r="C14"/>
  <c r="D14" s="1"/>
  <c r="B13"/>
  <c r="C13"/>
  <c r="D13"/>
  <c r="B12"/>
  <c r="C12"/>
  <c r="D12" s="1"/>
  <c r="B11"/>
  <c r="C11"/>
  <c r="D11"/>
  <c r="C9" i="1"/>
  <c r="C16" s="1"/>
  <c r="C13" s="1"/>
  <c r="C19"/>
  <c r="C21"/>
  <c r="C10"/>
  <c r="C14"/>
  <c r="I11" i="5"/>
  <c r="C7" i="2"/>
  <c r="E14"/>
  <c r="D29" i="6" s="1"/>
  <c r="F19" i="3"/>
  <c r="F7"/>
  <c r="B16" i="6"/>
  <c r="C29" i="4" l="1"/>
  <c r="F6" i="3"/>
  <c r="F11" s="1"/>
  <c r="F21" s="1"/>
  <c r="B31" i="6" s="1"/>
  <c r="B21"/>
  <c r="B22" s="1"/>
  <c r="C12" i="1"/>
  <c r="E29" i="4"/>
  <c r="E30" s="1"/>
  <c r="D15" i="3"/>
  <c r="F16" s="1"/>
  <c r="K5" i="7"/>
  <c r="G7" i="5" s="1"/>
  <c r="K3" i="7"/>
  <c r="C20" i="1" s="1"/>
  <c r="K6" i="7"/>
  <c r="C6" i="2" s="1"/>
  <c r="C5" s="1"/>
  <c r="C14" s="1"/>
  <c r="B28" i="6" s="1"/>
  <c r="B29" s="1"/>
  <c r="K4" i="7"/>
  <c r="C23" i="1"/>
  <c r="E5" i="4"/>
  <c r="C7" i="1" s="1"/>
  <c r="E14" i="4"/>
  <c r="C11" i="1"/>
  <c r="C8" l="1"/>
  <c r="B24" i="6"/>
  <c r="G6" i="5"/>
  <c r="D23" i="6"/>
  <c r="D32"/>
  <c r="D22"/>
  <c r="B32"/>
  <c r="G11" i="5" l="1"/>
  <c r="B34" i="6"/>
  <c r="B35" s="1"/>
  <c r="B18" s="1"/>
  <c r="B26"/>
  <c r="B25"/>
</calcChain>
</file>

<file path=xl/sharedStrings.xml><?xml version="1.0" encoding="utf-8"?>
<sst xmlns="http://schemas.openxmlformats.org/spreadsheetml/2006/main" count="260" uniqueCount="187">
  <si>
    <t>Onde:</t>
  </si>
  <si>
    <t>qt</t>
  </si>
  <si>
    <t>r</t>
  </si>
  <si>
    <t>g</t>
  </si>
  <si>
    <t>H</t>
  </si>
  <si>
    <t>Altura de recobrimento (m)</t>
  </si>
  <si>
    <r>
      <t xml:space="preserve">qt = </t>
    </r>
    <r>
      <rPr>
        <sz val="10"/>
        <rFont val="Symbol"/>
        <family val="1"/>
        <charset val="2"/>
      </rPr>
      <t>r</t>
    </r>
    <r>
      <rPr>
        <sz val="10"/>
        <rFont val="Arial"/>
      </rPr>
      <t xml:space="preserve"> . g . h </t>
    </r>
  </si>
  <si>
    <t>a) Sem lençol freático</t>
  </si>
  <si>
    <t>b) Com lençol Freático</t>
  </si>
  <si>
    <r>
      <t>Aceleração da gravidade (m/s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)</t>
    </r>
  </si>
  <si>
    <t>h</t>
  </si>
  <si>
    <t>Profundidade do lençol Freático (m)</t>
  </si>
  <si>
    <t>Pressão de Terra (Pa)</t>
  </si>
  <si>
    <r>
      <t>Massa específica do solo de reaterro saturado (kg/m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)</t>
    </r>
  </si>
  <si>
    <r>
      <t>Massa específica do solo de reaterro (kg/m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)</t>
    </r>
  </si>
  <si>
    <r>
      <t>r</t>
    </r>
    <r>
      <rPr>
        <vertAlign val="subscript"/>
        <sz val="10"/>
        <rFont val="Arial"/>
        <family val="2"/>
      </rPr>
      <t>s</t>
    </r>
  </si>
  <si>
    <t>Observação:</t>
  </si>
  <si>
    <t>Na falta de conhecimento específico :</t>
  </si>
  <si>
    <t>Pedregulho e areia</t>
  </si>
  <si>
    <t>Solo orgânico saturado</t>
  </si>
  <si>
    <t>Argila</t>
  </si>
  <si>
    <t>Argila Saturada</t>
  </si>
  <si>
    <t>r =</t>
  </si>
  <si>
    <r>
      <t>r</t>
    </r>
    <r>
      <rPr>
        <vertAlign val="subscript"/>
        <sz val="10"/>
        <rFont val="Arial"/>
        <family val="2"/>
      </rPr>
      <t>s =</t>
    </r>
  </si>
  <si>
    <t>Materiais granulares sem coesão:</t>
  </si>
  <si>
    <t>c</t>
  </si>
  <si>
    <t>f</t>
  </si>
  <si>
    <t>qm = c . f . p</t>
  </si>
  <si>
    <t>p</t>
  </si>
  <si>
    <t>Coeficiente de carga móvel</t>
  </si>
  <si>
    <t>Fator de Impacto</t>
  </si>
  <si>
    <t xml:space="preserve">Fator de impacto: </t>
  </si>
  <si>
    <t xml:space="preserve">f = </t>
  </si>
  <si>
    <t>Para rodovias</t>
  </si>
  <si>
    <t>Para Ferrovias</t>
  </si>
  <si>
    <t>Cálculo da deformação diametral relativa dos tubos</t>
  </si>
  <si>
    <t>E'</t>
  </si>
  <si>
    <t>Deformação diametral relativa</t>
  </si>
  <si>
    <t>Pa</t>
  </si>
  <si>
    <r>
      <t>kg/m</t>
    </r>
    <r>
      <rPr>
        <vertAlign val="superscript"/>
        <sz val="10"/>
        <rFont val="Arial"/>
        <family val="2"/>
      </rPr>
      <t>3</t>
    </r>
  </si>
  <si>
    <t>m/s2</t>
  </si>
  <si>
    <r>
      <t xml:space="preserve">qt = </t>
    </r>
    <r>
      <rPr>
        <sz val="10"/>
        <rFont val="Symbol"/>
        <family val="1"/>
        <charset val="2"/>
      </rPr>
      <t>r</t>
    </r>
    <r>
      <rPr>
        <sz val="10"/>
        <rFont val="Arial"/>
      </rPr>
      <t xml:space="preserve"> . g . h + (H-h). </t>
    </r>
    <r>
      <rPr>
        <sz val="10"/>
        <rFont val="Symbol"/>
        <family val="1"/>
        <charset val="2"/>
      </rPr>
      <t>r</t>
    </r>
    <r>
      <rPr>
        <vertAlign val="subscript"/>
        <sz val="10"/>
        <rFont val="Arial"/>
        <family val="2"/>
      </rPr>
      <t>s</t>
    </r>
    <r>
      <rPr>
        <sz val="10"/>
        <rFont val="Arial"/>
      </rPr>
      <t xml:space="preserve"> . g </t>
    </r>
  </si>
  <si>
    <t>m</t>
  </si>
  <si>
    <t>Carga móvel por eixo :</t>
  </si>
  <si>
    <t>Eixo simples de roda simples</t>
  </si>
  <si>
    <t>Eixo simples de roda duplas</t>
  </si>
  <si>
    <t>Eixo tandem duplo</t>
  </si>
  <si>
    <t>Eixo tandem Triplo</t>
  </si>
  <si>
    <t>KN</t>
  </si>
  <si>
    <t>Carga móvel por eixo</t>
  </si>
  <si>
    <t>Observações:</t>
  </si>
  <si>
    <t>10 kgf/cm2</t>
  </si>
  <si>
    <t>1 MPa =</t>
  </si>
  <si>
    <t>1.000.000 Pa</t>
  </si>
  <si>
    <t>1N/m2 =</t>
  </si>
  <si>
    <t>1 Pa =</t>
  </si>
  <si>
    <t>0,101 kg/m2</t>
  </si>
  <si>
    <t>1 N =</t>
  </si>
  <si>
    <t>0,1020 Kgf =</t>
  </si>
  <si>
    <t>,0001020 Tf</t>
  </si>
  <si>
    <r>
      <t>CR =</t>
    </r>
    <r>
      <rPr>
        <u/>
        <sz val="10"/>
        <rFont val="Arial"/>
        <family val="2"/>
      </rPr>
      <t xml:space="preserve"> EI </t>
    </r>
  </si>
  <si>
    <r>
      <t xml:space="preserve">        Dm</t>
    </r>
    <r>
      <rPr>
        <vertAlign val="superscript"/>
        <sz val="10"/>
        <rFont val="Arial"/>
        <family val="2"/>
      </rPr>
      <t>3</t>
    </r>
  </si>
  <si>
    <t xml:space="preserve">Sendo:      </t>
  </si>
  <si>
    <t xml:space="preserve">Dm - Diâmetro médio do Tubo </t>
  </si>
  <si>
    <t>I - Mom/o de Inércia da seção transv. do tubo p/ unid. de compri/o</t>
  </si>
  <si>
    <t>m4/m</t>
  </si>
  <si>
    <t>E - Módulo de Elasticidade do material do tubo</t>
  </si>
  <si>
    <t>Esmagamento da parede do tubo</t>
  </si>
  <si>
    <r>
      <t>s</t>
    </r>
    <r>
      <rPr>
        <sz val="10"/>
        <rFont val="Arial"/>
      </rPr>
      <t>c =</t>
    </r>
    <r>
      <rPr>
        <u/>
        <sz val="10"/>
        <rFont val="Arial"/>
        <family val="2"/>
      </rPr>
      <t xml:space="preserve"> (p+q)*D</t>
    </r>
  </si>
  <si>
    <t xml:space="preserve">          2*A</t>
  </si>
  <si>
    <r>
      <t>s</t>
    </r>
    <r>
      <rPr>
        <sz val="10"/>
        <rFont val="Arial"/>
      </rPr>
      <t>c</t>
    </r>
  </si>
  <si>
    <t>Tensão de Compressão na parede do tubo (MPa)</t>
  </si>
  <si>
    <t>A</t>
  </si>
  <si>
    <t>área da seção transversal da parede do tubo por unidade de comprimento (m2/m)</t>
  </si>
  <si>
    <t>(MPa)</t>
  </si>
  <si>
    <t>(m)</t>
  </si>
  <si>
    <t>Flambagem da parede do tubo</t>
  </si>
  <si>
    <t>Tensão de Flambagem:</t>
  </si>
  <si>
    <t>Tensão que leva à flambagem um tubo livre (MPa)</t>
  </si>
  <si>
    <r>
      <t>D</t>
    </r>
    <r>
      <rPr>
        <sz val="10"/>
        <rFont val="Arial"/>
      </rPr>
      <t xml:space="preserve">y = </t>
    </r>
    <r>
      <rPr>
        <u/>
        <sz val="10"/>
        <rFont val="Arial"/>
        <family val="2"/>
      </rPr>
      <t xml:space="preserve"> D . K . ( p + q)   </t>
    </r>
  </si>
  <si>
    <t xml:space="preserve">        8. RA + 0,061. E'</t>
  </si>
  <si>
    <r>
      <t>D</t>
    </r>
    <r>
      <rPr>
        <sz val="10"/>
        <rFont val="Arial"/>
      </rPr>
      <t>y</t>
    </r>
  </si>
  <si>
    <r>
      <t>D</t>
    </r>
    <r>
      <rPr>
        <sz val="10"/>
        <rFont val="Arial"/>
      </rPr>
      <t>y/D</t>
    </r>
  </si>
  <si>
    <t>Deslocamento diametral vertical do tubo (m)</t>
  </si>
  <si>
    <t>D</t>
  </si>
  <si>
    <t>Diâmetro médio do tubo (m)</t>
  </si>
  <si>
    <t>K</t>
  </si>
  <si>
    <t>Constante de assentamento (adotada = 0,1)</t>
  </si>
  <si>
    <t>Tensão vertical distribuída no plano tangente à geratriz superior do tubo devida à carga permanente(MPa)</t>
  </si>
  <si>
    <t>q</t>
  </si>
  <si>
    <t>Tensão vertical distribuída no plano tangente à geratriz superior do tubo devida à Móveis(MPa)</t>
  </si>
  <si>
    <t>RA</t>
  </si>
  <si>
    <t>Rigidez anular do tubo</t>
  </si>
  <si>
    <t>Módulo reativo do solo de envolvimento (MPa)</t>
  </si>
  <si>
    <t>MPa</t>
  </si>
  <si>
    <t xml:space="preserve">Pressão de Terra </t>
  </si>
  <si>
    <r>
      <t xml:space="preserve">p </t>
    </r>
    <r>
      <rPr>
        <i/>
        <vertAlign val="subscript"/>
        <sz val="10"/>
        <rFont val="Arial"/>
        <family val="2"/>
      </rPr>
      <t>fl</t>
    </r>
  </si>
  <si>
    <r>
      <t xml:space="preserve">       (D/2)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 xml:space="preserve"> (1-</t>
    </r>
    <r>
      <rPr>
        <i/>
        <sz val="10"/>
        <rFont val="Arial"/>
        <family val="2"/>
      </rPr>
      <t>v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)</t>
    </r>
  </si>
  <si>
    <t>v</t>
  </si>
  <si>
    <t>Coeficiente de Poison do material do tubo</t>
  </si>
  <si>
    <r>
      <t>p</t>
    </r>
    <r>
      <rPr>
        <sz val="10"/>
        <rFont val="Arial"/>
      </rPr>
      <t xml:space="preserve"> </t>
    </r>
    <r>
      <rPr>
        <i/>
        <vertAlign val="subscript"/>
        <sz val="10"/>
        <rFont val="Arial"/>
        <family val="2"/>
      </rPr>
      <t>fl</t>
    </r>
    <r>
      <rPr>
        <sz val="10"/>
        <rFont val="Arial"/>
      </rPr>
      <t xml:space="preserve"> =</t>
    </r>
    <r>
      <rPr>
        <u/>
        <sz val="10"/>
        <rFont val="Arial"/>
        <family val="2"/>
      </rPr>
      <t xml:space="preserve">    3 EI    </t>
    </r>
  </si>
  <si>
    <r>
      <t>p</t>
    </r>
    <r>
      <rPr>
        <sz val="10"/>
        <rFont val="Arial"/>
      </rPr>
      <t xml:space="preserve"> </t>
    </r>
    <r>
      <rPr>
        <i/>
        <vertAlign val="subscript"/>
        <sz val="10"/>
        <rFont val="Arial"/>
        <family val="2"/>
      </rPr>
      <t>fls</t>
    </r>
    <r>
      <rPr>
        <sz val="10"/>
        <rFont val="Arial"/>
      </rPr>
      <t xml:space="preserve"> = 1,15 . (</t>
    </r>
    <r>
      <rPr>
        <i/>
        <sz val="10"/>
        <rFont val="Arial"/>
        <family val="2"/>
      </rPr>
      <t>p</t>
    </r>
    <r>
      <rPr>
        <i/>
        <vertAlign val="subscript"/>
        <sz val="10"/>
        <rFont val="Arial"/>
        <family val="2"/>
      </rPr>
      <t>fl</t>
    </r>
    <r>
      <rPr>
        <i/>
        <sz val="10"/>
        <rFont val="Arial"/>
        <family val="2"/>
      </rPr>
      <t xml:space="preserve"> </t>
    </r>
    <r>
      <rPr>
        <sz val="10"/>
        <rFont val="Arial"/>
      </rPr>
      <t>. E' )</t>
    </r>
    <r>
      <rPr>
        <vertAlign val="superscript"/>
        <sz val="10"/>
        <rFont val="Arial"/>
        <family val="2"/>
      </rPr>
      <t>0,5</t>
    </r>
  </si>
  <si>
    <t>Deformação excessiva da parede do tubo</t>
  </si>
  <si>
    <t xml:space="preserve">      2 . t . E      D    1 - 2.DY/D</t>
  </si>
  <si>
    <r>
      <t>e</t>
    </r>
    <r>
      <rPr>
        <sz val="10"/>
        <rFont val="Arial"/>
      </rPr>
      <t xml:space="preserve"> =</t>
    </r>
    <r>
      <rPr>
        <u/>
        <sz val="10"/>
        <rFont val="Arial"/>
        <family val="2"/>
      </rPr>
      <t xml:space="preserve"> (p+q) . D </t>
    </r>
    <r>
      <rPr>
        <sz val="10"/>
        <rFont val="Arial"/>
      </rPr>
      <t xml:space="preserve"> +</t>
    </r>
    <r>
      <rPr>
        <u/>
        <sz val="10"/>
        <rFont val="Arial"/>
        <family val="2"/>
      </rPr>
      <t xml:space="preserve">  t </t>
    </r>
    <r>
      <rPr>
        <sz val="10"/>
        <rFont val="Arial"/>
      </rPr>
      <t xml:space="preserve">. </t>
    </r>
    <r>
      <rPr>
        <u/>
        <sz val="10"/>
        <rFont val="Arial"/>
        <family val="2"/>
      </rPr>
      <t xml:space="preserve"> 3.</t>
    </r>
    <r>
      <rPr>
        <u/>
        <sz val="10"/>
        <rFont val="Symbol"/>
        <family val="1"/>
        <charset val="2"/>
      </rPr>
      <t>D</t>
    </r>
    <r>
      <rPr>
        <u/>
        <sz val="10"/>
        <rFont val="Arial"/>
        <family val="2"/>
      </rPr>
      <t xml:space="preserve">Y/D    </t>
    </r>
  </si>
  <si>
    <r>
      <t>e</t>
    </r>
    <r>
      <rPr>
        <sz val="10"/>
        <rFont val="Arial"/>
      </rPr>
      <t xml:space="preserve"> </t>
    </r>
  </si>
  <si>
    <t>Deformação total de tração devida à flexão do tubo</t>
  </si>
  <si>
    <t xml:space="preserve">t </t>
  </si>
  <si>
    <t>Espessura da parede do tubo (m)</t>
  </si>
  <si>
    <r>
      <t>(m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/m)</t>
    </r>
  </si>
  <si>
    <t>(tem que ser =&lt; 7,5%)</t>
  </si>
  <si>
    <t>Tensão de compressão  x Coeficiente de Segurança &lt; Tensão de plastificação do PVC</t>
  </si>
  <si>
    <r>
      <t>p</t>
    </r>
    <r>
      <rPr>
        <sz val="10"/>
        <rFont val="Arial"/>
      </rPr>
      <t xml:space="preserve"> </t>
    </r>
    <r>
      <rPr>
        <i/>
        <vertAlign val="subscript"/>
        <sz val="10"/>
        <rFont val="Arial"/>
        <family val="2"/>
      </rPr>
      <t>fls</t>
    </r>
  </si>
  <si>
    <t>Carregamento que leva à flambagem um tubo envolvido por solo (MPa)</t>
  </si>
  <si>
    <t>(p+q)</t>
  </si>
  <si>
    <t>KPa</t>
  </si>
  <si>
    <t>Massa específica do solo seco</t>
  </si>
  <si>
    <t>Massa específica do solo saturado</t>
  </si>
  <si>
    <t>Altura do recobrimento</t>
  </si>
  <si>
    <t>Diâmetro do Tubo</t>
  </si>
  <si>
    <t>Nível do lençol da água</t>
  </si>
  <si>
    <t>Kg/m3</t>
  </si>
  <si>
    <t>Dados:</t>
  </si>
  <si>
    <t>Tipo de solo</t>
  </si>
  <si>
    <t>Adotado</t>
  </si>
  <si>
    <t>Deformação diametral</t>
  </si>
  <si>
    <t>Deformação parede</t>
  </si>
  <si>
    <t>Perfil</t>
  </si>
  <si>
    <t>140BR1</t>
  </si>
  <si>
    <t>140BR2</t>
  </si>
  <si>
    <t>Perfil adotado</t>
  </si>
  <si>
    <t>Perfil  recomendado</t>
  </si>
  <si>
    <t>Móveis</t>
  </si>
  <si>
    <t>cm</t>
  </si>
  <si>
    <t>Total</t>
  </si>
  <si>
    <t>(&lt;2,5 %)</t>
  </si>
  <si>
    <t>De</t>
  </si>
  <si>
    <t>diametro externo</t>
  </si>
  <si>
    <t>(&lt;7,5 %)</t>
  </si>
  <si>
    <t>Resultados:</t>
  </si>
  <si>
    <t>(&gt;Carga atual</t>
  </si>
  <si>
    <t>KPa)</t>
  </si>
  <si>
    <t>112BR1</t>
  </si>
  <si>
    <t>168BR2</t>
  </si>
  <si>
    <t>Coeficiente de segurança</t>
  </si>
  <si>
    <t>Tensão</t>
  </si>
  <si>
    <t>Deformação</t>
  </si>
  <si>
    <t>Coeficiente de Segurança</t>
  </si>
  <si>
    <t>Carregamento que leva a Flambagem</t>
  </si>
  <si>
    <t>=&lt;</t>
  </si>
  <si>
    <t>MPA</t>
  </si>
  <si>
    <t>Atual:</t>
  </si>
  <si>
    <t xml:space="preserve">=&lt; </t>
  </si>
  <si>
    <t xml:space="preserve">(&lt; </t>
  </si>
  <si>
    <t>mpa)</t>
  </si>
  <si>
    <t xml:space="preserve"> =   24 Ra </t>
  </si>
  <si>
    <r>
      <t xml:space="preserve">     (1-v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)</t>
    </r>
  </si>
  <si>
    <t>OUTROS DADOS:</t>
  </si>
  <si>
    <t xml:space="preserve">K -  Constante de assentamento </t>
  </si>
  <si>
    <t xml:space="preserve">f -  Fator de impacto: </t>
  </si>
  <si>
    <t>Coeficiente de segurança na flambagem</t>
  </si>
  <si>
    <t>Deformação Máxima da Parede</t>
  </si>
  <si>
    <t>Tensão Admissível Compressão</t>
  </si>
  <si>
    <t>Mpa</t>
  </si>
  <si>
    <t>Coeficiente de segurança da Carga Acidental</t>
  </si>
  <si>
    <r>
      <t xml:space="preserve">Esmagamento                     </t>
    </r>
    <r>
      <rPr>
        <sz val="10"/>
        <rFont val="Symbol"/>
        <family val="1"/>
        <charset val="2"/>
      </rPr>
      <t>s</t>
    </r>
    <r>
      <rPr>
        <sz val="10"/>
        <rFont val="Arial"/>
      </rPr>
      <t>c</t>
    </r>
  </si>
  <si>
    <r>
      <t>Cargas</t>
    </r>
    <r>
      <rPr>
        <sz val="10"/>
        <rFont val="Arial"/>
      </rPr>
      <t xml:space="preserve">                    Permanente</t>
    </r>
  </si>
  <si>
    <r>
      <t xml:space="preserve">Flambagem         </t>
    </r>
    <r>
      <rPr>
        <sz val="10"/>
        <rFont val="Arial"/>
      </rPr>
      <t>Carga máxima</t>
    </r>
  </si>
  <si>
    <t>Metálico</t>
  </si>
  <si>
    <t xml:space="preserve">Tubos </t>
  </si>
  <si>
    <t>Momento Inercia - m4/m</t>
  </si>
  <si>
    <t>Espessura da parede do tubo - m</t>
  </si>
  <si>
    <t>Área seção transversal por perfil - m2</t>
  </si>
  <si>
    <t>Área seção transversal pela largura do perfil - mm2/m</t>
  </si>
  <si>
    <t>Largura mínima da Vala</t>
  </si>
  <si>
    <t>Berço do tubo c/ material de envoltória =  15 cm</t>
  </si>
  <si>
    <t>Recobrimento da geratriz superior do tubo c/ material da envoltória = 15 cm</t>
  </si>
  <si>
    <t>Velocidade máxima:</t>
  </si>
  <si>
    <t>Normalmente o que determina a velocidade máxima nos tubos Ribloc, é o material de jusante.</t>
  </si>
  <si>
    <t>Para bueiros duplo o espaçamento entre tubos deve ser de 0,5 D ou 90 cm</t>
  </si>
  <si>
    <t>Coeficiente de segurança no esmagamento C/ Steel</t>
  </si>
  <si>
    <t>Coeficiente de segurança no esmagamento S/ Steel</t>
  </si>
  <si>
    <t>obs:</t>
  </si>
  <si>
    <t>Os valores em vermelho são os parâmetros que devem ser informados.</t>
  </si>
  <si>
    <t>T/m2</t>
  </si>
  <si>
    <t>kg/cm2</t>
  </si>
  <si>
    <t>PLANILHA DE CÁLCULO PARA TUBOS RIB LOC</t>
  </si>
</sst>
</file>

<file path=xl/styles.xml><?xml version="1.0" encoding="utf-8"?>
<styleSheet xmlns="http://schemas.openxmlformats.org/spreadsheetml/2006/main">
  <numFmts count="10">
    <numFmt numFmtId="171" formatCode="_(* #,##0.00_);_(* \(#,##0.00\);_(* &quot;-&quot;??_);_(@_)"/>
    <numFmt numFmtId="178" formatCode="_(* #,##0.0_);_(* \(#,##0.0\);_(* &quot;-&quot;??_);_(@_)"/>
    <numFmt numFmtId="179" formatCode="_(* #,##0_);_(* \(#,##0\);_(* &quot;-&quot;??_);_(@_)"/>
    <numFmt numFmtId="181" formatCode="0.0000000"/>
    <numFmt numFmtId="183" formatCode="0.00000"/>
    <numFmt numFmtId="186" formatCode="0.0%"/>
    <numFmt numFmtId="187" formatCode="_(* #,##0.000_);_(* \(#,##0.000\);_(* &quot;-&quot;??_);_(@_)"/>
    <numFmt numFmtId="189" formatCode="_(* #,##0.00000_);_(* \(#,##0.00000\);_(* &quot;-&quot;??_);_(@_)"/>
    <numFmt numFmtId="190" formatCode="_(* #,##0.000000_);_(* \(#,##0.000000\);_(* &quot;-&quot;??_);_(@_)"/>
    <numFmt numFmtId="191" formatCode="_(* #,##0.0000000_);_(* \(#,##0.0000000\);_(* &quot;-&quot;??_);_(@_)"/>
  </numFmts>
  <fonts count="17">
    <font>
      <sz val="10"/>
      <name val="Arial"/>
    </font>
    <font>
      <sz val="10"/>
      <name val="Arial"/>
    </font>
    <font>
      <sz val="10"/>
      <name val="Symbol"/>
      <family val="1"/>
      <charset val="2"/>
    </font>
    <font>
      <b/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i/>
      <vertAlign val="subscript"/>
      <sz val="10"/>
      <name val="Arial"/>
      <family val="2"/>
    </font>
    <font>
      <i/>
      <sz val="10"/>
      <name val="Arial"/>
      <family val="2"/>
    </font>
    <font>
      <u/>
      <sz val="10"/>
      <name val="Symbol"/>
      <family val="1"/>
      <charset val="2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79" fontId="0" fillId="0" borderId="0" xfId="2" applyNumberFormat="1" applyFont="1"/>
    <xf numFmtId="0" fontId="8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4" xfId="0" applyFont="1" applyBorder="1"/>
    <xf numFmtId="179" fontId="0" fillId="0" borderId="3" xfId="0" applyNumberFormat="1" applyBorder="1"/>
    <xf numFmtId="179" fontId="0" fillId="0" borderId="3" xfId="2" applyNumberFormat="1" applyFont="1" applyBorder="1"/>
    <xf numFmtId="0" fontId="9" fillId="0" borderId="2" xfId="0" applyFont="1" applyBorder="1"/>
    <xf numFmtId="0" fontId="9" fillId="0" borderId="1" xfId="0" applyFont="1" applyBorder="1"/>
    <xf numFmtId="0" fontId="0" fillId="0" borderId="0" xfId="0" applyAlignment="1">
      <alignment horizontal="right"/>
    </xf>
    <xf numFmtId="10" fontId="9" fillId="0" borderId="1" xfId="1" applyNumberFormat="1" applyFont="1" applyBorder="1"/>
    <xf numFmtId="179" fontId="0" fillId="0" borderId="5" xfId="2" applyNumberFormat="1" applyFont="1" applyBorder="1"/>
    <xf numFmtId="0" fontId="2" fillId="0" borderId="0" xfId="0" applyFont="1" applyAlignment="1">
      <alignment horizontal="right"/>
    </xf>
    <xf numFmtId="189" fontId="9" fillId="0" borderId="1" xfId="2" applyNumberFormat="1" applyFont="1" applyBorder="1"/>
    <xf numFmtId="189" fontId="9" fillId="0" borderId="4" xfId="2" applyNumberFormat="1" applyFont="1" applyBorder="1"/>
    <xf numFmtId="189" fontId="0" fillId="0" borderId="2" xfId="0" applyNumberFormat="1" applyBorder="1"/>
    <xf numFmtId="190" fontId="0" fillId="0" borderId="2" xfId="2" applyNumberFormat="1" applyFont="1" applyBorder="1"/>
    <xf numFmtId="190" fontId="9" fillId="0" borderId="4" xfId="2" applyNumberFormat="1" applyFont="1" applyBorder="1"/>
    <xf numFmtId="191" fontId="9" fillId="0" borderId="2" xfId="2" applyNumberFormat="1" applyFont="1" applyBorder="1"/>
    <xf numFmtId="171" fontId="9" fillId="0" borderId="2" xfId="2" applyFont="1" applyBorder="1"/>
    <xf numFmtId="178" fontId="0" fillId="0" borderId="3" xfId="2" applyNumberFormat="1" applyFont="1" applyBorder="1"/>
    <xf numFmtId="0" fontId="11" fillId="0" borderId="0" xfId="0" applyFont="1"/>
    <xf numFmtId="0" fontId="0" fillId="0" borderId="4" xfId="0" applyBorder="1"/>
    <xf numFmtId="1" fontId="0" fillId="0" borderId="0" xfId="0" applyNumberFormat="1"/>
    <xf numFmtId="0" fontId="0" fillId="0" borderId="0" xfId="0" quotePrefix="1"/>
    <xf numFmtId="9" fontId="0" fillId="0" borderId="0" xfId="1" applyFont="1"/>
    <xf numFmtId="10" fontId="0" fillId="0" borderId="0" xfId="1" applyNumberFormat="1" applyFont="1"/>
    <xf numFmtId="171" fontId="0" fillId="0" borderId="1" xfId="2" applyFont="1" applyBorder="1"/>
    <xf numFmtId="183" fontId="0" fillId="0" borderId="0" xfId="0" applyNumberFormat="1"/>
    <xf numFmtId="178" fontId="0" fillId="0" borderId="0" xfId="2" applyNumberFormat="1" applyFont="1"/>
    <xf numFmtId="181" fontId="0" fillId="0" borderId="2" xfId="0" applyNumberFormat="1" applyBorder="1"/>
    <xf numFmtId="171" fontId="0" fillId="0" borderId="3" xfId="2" applyFont="1" applyBorder="1"/>
    <xf numFmtId="10" fontId="0" fillId="0" borderId="1" xfId="0" applyNumberFormat="1" applyBorder="1"/>
    <xf numFmtId="171" fontId="0" fillId="0" borderId="0" xfId="0" applyNumberFormat="1"/>
    <xf numFmtId="171" fontId="0" fillId="0" borderId="2" xfId="2" applyFont="1" applyBorder="1"/>
    <xf numFmtId="10" fontId="0" fillId="0" borderId="4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9" fillId="0" borderId="3" xfId="0" applyFont="1" applyBorder="1"/>
    <xf numFmtId="0" fontId="3" fillId="0" borderId="0" xfId="0" applyFont="1" applyAlignment="1">
      <alignment horizontal="right"/>
    </xf>
    <xf numFmtId="0" fontId="13" fillId="0" borderId="9" xfId="0" applyFont="1" applyBorder="1"/>
    <xf numFmtId="0" fontId="3" fillId="0" borderId="0" xfId="0" applyFont="1" applyAlignment="1">
      <alignment horizontal="left"/>
    </xf>
    <xf numFmtId="0" fontId="13" fillId="0" borderId="0" xfId="0" applyFont="1" applyBorder="1"/>
    <xf numFmtId="171" fontId="0" fillId="0" borderId="4" xfId="0" applyNumberFormat="1" applyBorder="1"/>
    <xf numFmtId="187" fontId="0" fillId="0" borderId="0" xfId="2" applyNumberFormat="1" applyFont="1"/>
    <xf numFmtId="186" fontId="0" fillId="0" borderId="0" xfId="1" applyNumberFormat="1" applyFont="1"/>
    <xf numFmtId="171" fontId="0" fillId="0" borderId="0" xfId="2" applyFont="1"/>
    <xf numFmtId="171" fontId="0" fillId="0" borderId="4" xfId="2" applyFont="1" applyBorder="1"/>
    <xf numFmtId="171" fontId="9" fillId="0" borderId="1" xfId="2" applyFont="1" applyBorder="1"/>
    <xf numFmtId="10" fontId="0" fillId="0" borderId="0" xfId="0" applyNumberFormat="1"/>
    <xf numFmtId="0" fontId="9" fillId="0" borderId="0" xfId="0" applyFont="1" applyBorder="1"/>
    <xf numFmtId="0" fontId="0" fillId="0" borderId="0" xfId="0" applyBorder="1" applyAlignment="1">
      <alignment horizontal="right"/>
    </xf>
    <xf numFmtId="0" fontId="9" fillId="0" borderId="4" xfId="0" applyFont="1" applyBorder="1" applyAlignment="1">
      <alignment horizontal="right"/>
    </xf>
    <xf numFmtId="0" fontId="14" fillId="0" borderId="0" xfId="0" applyFont="1"/>
    <xf numFmtId="10" fontId="0" fillId="0" borderId="6" xfId="1" applyNumberFormat="1" applyFont="1" applyBorder="1"/>
    <xf numFmtId="0" fontId="0" fillId="0" borderId="7" xfId="0" quotePrefix="1" applyBorder="1"/>
    <xf numFmtId="186" fontId="0" fillId="0" borderId="8" xfId="1" applyNumberFormat="1" applyFont="1" applyBorder="1"/>
    <xf numFmtId="171" fontId="3" fillId="0" borderId="0" xfId="2" applyFont="1" applyAlignment="1">
      <alignment horizontal="right"/>
    </xf>
    <xf numFmtId="171" fontId="3" fillId="0" borderId="0" xfId="2" applyFont="1"/>
    <xf numFmtId="0" fontId="15" fillId="0" borderId="0" xfId="0" applyFont="1"/>
    <xf numFmtId="0" fontId="16" fillId="0" borderId="0" xfId="0" applyFont="1"/>
    <xf numFmtId="189" fontId="0" fillId="0" borderId="0" xfId="2" applyNumberFormat="1" applyFont="1"/>
    <xf numFmtId="189" fontId="0" fillId="0" borderId="0" xfId="0" applyNumberFormat="1"/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zoomScale="85" workbookViewId="0"/>
  </sheetViews>
  <sheetFormatPr defaultRowHeight="12.75"/>
  <cols>
    <col min="1" max="1" width="31.140625" customWidth="1"/>
    <col min="2" max="2" width="14.140625" customWidth="1"/>
    <col min="3" max="3" width="12.5703125" customWidth="1"/>
    <col min="4" max="4" width="11.42578125" customWidth="1"/>
    <col min="5" max="5" width="9.7109375" customWidth="1"/>
    <col min="9" max="9" width="17.42578125" customWidth="1"/>
    <col min="11" max="11" width="9.85546875" customWidth="1"/>
  </cols>
  <sheetData>
    <row r="1" spans="1:11" ht="20.25">
      <c r="B1" s="65" t="s">
        <v>186</v>
      </c>
    </row>
    <row r="2" spans="1:11" ht="18">
      <c r="A2" s="5" t="s">
        <v>122</v>
      </c>
      <c r="E2" s="2" t="s">
        <v>157</v>
      </c>
    </row>
    <row r="3" spans="1:11">
      <c r="A3" t="s">
        <v>118</v>
      </c>
      <c r="B3" s="54">
        <v>1</v>
      </c>
      <c r="C3" t="s">
        <v>42</v>
      </c>
      <c r="F3" t="s">
        <v>158</v>
      </c>
      <c r="J3">
        <v>0.1</v>
      </c>
    </row>
    <row r="4" spans="1:11">
      <c r="A4" t="s">
        <v>120</v>
      </c>
      <c r="B4" s="12">
        <v>1</v>
      </c>
      <c r="C4" t="s">
        <v>42</v>
      </c>
      <c r="F4" t="s">
        <v>159</v>
      </c>
      <c r="J4">
        <v>1.5</v>
      </c>
    </row>
    <row r="5" spans="1:11">
      <c r="A5" t="s">
        <v>116</v>
      </c>
      <c r="B5" s="12">
        <v>1700</v>
      </c>
      <c r="C5" t="s">
        <v>121</v>
      </c>
      <c r="F5" t="s">
        <v>181</v>
      </c>
      <c r="J5">
        <v>2</v>
      </c>
    </row>
    <row r="6" spans="1:11">
      <c r="A6" t="s">
        <v>117</v>
      </c>
      <c r="B6" s="12">
        <v>1700</v>
      </c>
      <c r="C6" t="s">
        <v>121</v>
      </c>
      <c r="D6" s="4"/>
      <c r="F6" t="s">
        <v>180</v>
      </c>
      <c r="J6">
        <v>1.5</v>
      </c>
    </row>
    <row r="7" spans="1:11">
      <c r="A7" t="s">
        <v>49</v>
      </c>
      <c r="B7" s="12">
        <v>50</v>
      </c>
      <c r="C7" t="s">
        <v>48</v>
      </c>
      <c r="F7" t="s">
        <v>160</v>
      </c>
      <c r="J7">
        <v>2</v>
      </c>
    </row>
    <row r="8" spans="1:11">
      <c r="A8" t="s">
        <v>119</v>
      </c>
      <c r="B8" s="44">
        <v>1.2</v>
      </c>
      <c r="C8" t="s">
        <v>42</v>
      </c>
      <c r="F8" t="s">
        <v>99</v>
      </c>
      <c r="J8">
        <v>0.38</v>
      </c>
    </row>
    <row r="9" spans="1:11">
      <c r="A9" t="s">
        <v>131</v>
      </c>
      <c r="B9" s="57" t="str">
        <f>IF(B8&lt;=0.4,"112BR1",IF(B8&lt;=0.6,"140BR1",IF(B8&lt;0.9,"140BR2","168BR2")))</f>
        <v>168BR2</v>
      </c>
      <c r="F9" t="s">
        <v>161</v>
      </c>
      <c r="J9" s="55">
        <v>2.5000000000000001E-2</v>
      </c>
    </row>
    <row r="10" spans="1:11">
      <c r="A10" t="s">
        <v>130</v>
      </c>
      <c r="B10" s="58" t="str">
        <f>+B9</f>
        <v>168BR2</v>
      </c>
      <c r="F10" t="s">
        <v>162</v>
      </c>
      <c r="J10">
        <v>35</v>
      </c>
      <c r="K10" t="s">
        <v>163</v>
      </c>
    </row>
    <row r="11" spans="1:11">
      <c r="B11" s="56"/>
      <c r="F11" t="s">
        <v>164</v>
      </c>
      <c r="J11">
        <v>1.2</v>
      </c>
    </row>
    <row r="12" spans="1:11">
      <c r="F12" t="s">
        <v>66</v>
      </c>
      <c r="J12">
        <v>2650</v>
      </c>
      <c r="K12" t="s">
        <v>94</v>
      </c>
    </row>
    <row r="13" spans="1:11">
      <c r="F13" t="s">
        <v>142</v>
      </c>
      <c r="G13" t="s">
        <v>128</v>
      </c>
      <c r="H13" t="s">
        <v>129</v>
      </c>
      <c r="I13" t="s">
        <v>143</v>
      </c>
    </row>
    <row r="14" spans="1:11" ht="18">
      <c r="A14" s="5" t="s">
        <v>124</v>
      </c>
    </row>
    <row r="15" spans="1:11">
      <c r="A15" t="s">
        <v>123</v>
      </c>
      <c r="B15" s="9">
        <v>7</v>
      </c>
      <c r="C15" t="s">
        <v>94</v>
      </c>
      <c r="D15" s="41">
        <v>0.7</v>
      </c>
      <c r="E15" s="42">
        <v>1.4</v>
      </c>
      <c r="F15" s="42">
        <v>2.8</v>
      </c>
      <c r="G15" s="42">
        <v>7</v>
      </c>
      <c r="H15" s="43">
        <v>14</v>
      </c>
    </row>
    <row r="16" spans="1:11">
      <c r="B16" s="4">
        <f>+B15*1000000</f>
        <v>7000000</v>
      </c>
      <c r="C16" t="s">
        <v>38</v>
      </c>
    </row>
    <row r="17" spans="1:5" ht="13.5" thickBot="1"/>
    <row r="18" spans="1:5" ht="18.75" thickBot="1">
      <c r="A18" s="5" t="s">
        <v>139</v>
      </c>
      <c r="B18" s="46" t="str">
        <f>IF(AND(+B29="OK!!!",+B32="OK !!!",+B35="OK !!!",+B24&lt;0.075),"OK!!!","Adotar novos Valores")</f>
        <v>OK!!!</v>
      </c>
    </row>
    <row r="19" spans="1:5" ht="18">
      <c r="A19" s="5"/>
      <c r="B19" s="48"/>
    </row>
    <row r="20" spans="1:5">
      <c r="A20" s="45" t="s">
        <v>166</v>
      </c>
      <c r="B20" s="32">
        <f>+cargas!C14*1000</f>
        <v>17</v>
      </c>
      <c r="C20" t="s">
        <v>115</v>
      </c>
    </row>
    <row r="21" spans="1:5">
      <c r="A21" s="14" t="s">
        <v>132</v>
      </c>
      <c r="B21" s="39">
        <f>+cargas!C29*1000</f>
        <v>42.971834634811735</v>
      </c>
      <c r="C21" t="s">
        <v>115</v>
      </c>
      <c r="D21" s="14" t="s">
        <v>145</v>
      </c>
    </row>
    <row r="22" spans="1:5">
      <c r="A22" s="14" t="s">
        <v>134</v>
      </c>
      <c r="B22" s="36">
        <f>+B21+B20</f>
        <v>59.971834634811735</v>
      </c>
      <c r="C22" t="s">
        <v>115</v>
      </c>
      <c r="D22" s="52">
        <f>+B22/10</f>
        <v>5.9971834634811731</v>
      </c>
      <c r="E22" t="s">
        <v>184</v>
      </c>
    </row>
    <row r="23" spans="1:5">
      <c r="D23" s="52">
        <f>+B22/100</f>
        <v>0.59971834634811738</v>
      </c>
      <c r="E23" t="s">
        <v>185</v>
      </c>
    </row>
    <row r="24" spans="1:5">
      <c r="A24" s="2" t="s">
        <v>125</v>
      </c>
      <c r="B24" s="37">
        <f>+defor!C7</f>
        <v>1.3914578801580448E-2</v>
      </c>
    </row>
    <row r="25" spans="1:5">
      <c r="B25" s="25">
        <f>+B24*B8*100</f>
        <v>1.6697494561896535</v>
      </c>
      <c r="C25" t="s">
        <v>133</v>
      </c>
    </row>
    <row r="26" spans="1:5">
      <c r="B26" t="str">
        <f>IF(B24&lt;0.075,"OK!!!", "Adotar novos Valores")</f>
        <v>OK!!!</v>
      </c>
      <c r="C26" s="29" t="s">
        <v>138</v>
      </c>
    </row>
    <row r="27" spans="1:5">
      <c r="B27" s="34"/>
    </row>
    <row r="28" spans="1:5">
      <c r="A28" s="47" t="s">
        <v>165</v>
      </c>
      <c r="B28" s="49">
        <f>+Esmagamento!C14</f>
        <v>5.7197744048461345</v>
      </c>
      <c r="C28" t="s">
        <v>94</v>
      </c>
    </row>
    <row r="29" spans="1:5">
      <c r="B29" t="str">
        <f>IF(B28&lt;D29,"OK!!!", "Adotar novos Valores")</f>
        <v>OK!!!</v>
      </c>
      <c r="C29" s="14" t="s">
        <v>153</v>
      </c>
      <c r="D29">
        <f>+Esmagamento!E14</f>
        <v>17.5</v>
      </c>
      <c r="E29" t="s">
        <v>154</v>
      </c>
    </row>
    <row r="31" spans="1:5">
      <c r="A31" s="47" t="s">
        <v>167</v>
      </c>
      <c r="B31" s="53">
        <f>+Flambagem!F21*1000</f>
        <v>180.16569434649546</v>
      </c>
      <c r="C31" t="s">
        <v>115</v>
      </c>
    </row>
    <row r="32" spans="1:5">
      <c r="B32" t="str">
        <f>IF(B31&gt;B22,"OK !!!","Adotar novos Valores")</f>
        <v>OK !!!</v>
      </c>
      <c r="C32" t="s">
        <v>140</v>
      </c>
      <c r="D32" s="38">
        <f>+B22</f>
        <v>59.971834634811735</v>
      </c>
      <c r="E32" t="s">
        <v>141</v>
      </c>
    </row>
    <row r="33" spans="1:4">
      <c r="D33" s="38"/>
    </row>
    <row r="34" spans="1:4">
      <c r="A34" s="2" t="s">
        <v>126</v>
      </c>
      <c r="B34" s="40">
        <f>+'Deformacao parede'!G6</f>
        <v>4.6335229083626743E-3</v>
      </c>
    </row>
    <row r="35" spans="1:4">
      <c r="B35" t="str">
        <f>IF(B34&lt;0.025,"OK !!!","Adotar novos Valores")</f>
        <v>OK !!!</v>
      </c>
      <c r="C35" t="s">
        <v>135</v>
      </c>
    </row>
    <row r="37" spans="1:4" ht="18">
      <c r="A37" s="5" t="s">
        <v>182</v>
      </c>
      <c r="B37" s="66" t="s">
        <v>183</v>
      </c>
    </row>
  </sheetData>
  <phoneticPr fontId="0" type="noConversion"/>
  <pageMargins left="0.49" right="0.35" top="0.54" bottom="0.984251969" header="0.49212598499999999" footer="0.49212598499999999"/>
  <pageSetup paperSize="9" scale="9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37"/>
  <sheetViews>
    <sheetView workbookViewId="0">
      <selection activeCell="A20" sqref="A20"/>
    </sheetView>
  </sheetViews>
  <sheetFormatPr defaultRowHeight="12.75"/>
  <cols>
    <col min="1" max="1" width="12.42578125" bestFit="1" customWidth="1"/>
    <col min="2" max="3" width="12.42578125" hidden="1" customWidth="1"/>
    <col min="4" max="6" width="12.42578125" bestFit="1" customWidth="1"/>
    <col min="7" max="7" width="12.42578125" customWidth="1"/>
    <col min="10" max="10" width="15" customWidth="1"/>
    <col min="11" max="11" width="12.42578125" customWidth="1"/>
  </cols>
  <sheetData>
    <row r="2" spans="1:11">
      <c r="A2" s="2" t="s">
        <v>142</v>
      </c>
      <c r="B2" s="2"/>
      <c r="C2" s="2"/>
      <c r="D2" s="2" t="s">
        <v>128</v>
      </c>
      <c r="E2" s="2" t="s">
        <v>129</v>
      </c>
      <c r="F2" s="2" t="s">
        <v>143</v>
      </c>
      <c r="G2" s="2" t="s">
        <v>168</v>
      </c>
      <c r="H2" s="2" t="s">
        <v>127</v>
      </c>
      <c r="K2" s="2" t="s">
        <v>124</v>
      </c>
    </row>
    <row r="3" spans="1:11">
      <c r="A3" s="59">
        <f>55.19642/1000/1000/1000</f>
        <v>5.5196420000000002E-8</v>
      </c>
      <c r="B3" s="59"/>
      <c r="C3" s="59"/>
      <c r="D3" s="59">
        <f>112.71428/1000/1000/1000</f>
        <v>1.1271428E-7</v>
      </c>
      <c r="E3" s="59">
        <f>232.64286/1000/1000/1000</f>
        <v>2.3264286E-7</v>
      </c>
      <c r="F3" s="59">
        <f>460.2381/1000/1000/1000</f>
        <v>4.6023809999999999E-7</v>
      </c>
      <c r="G3" s="59">
        <f>93.2738/1000/1000/1000</f>
        <v>9.3273799999999981E-8</v>
      </c>
      <c r="H3" s="2" t="s">
        <v>170</v>
      </c>
      <c r="K3">
        <f>IF(Resumo!$B$10='Dados Perfil'!A2,'Dados Perfil'!A3,IF(Resumo!$B$10='Dados Perfil'!D2,'Dados Perfil'!D3,IF(Resumo!$B$10='Dados Perfil'!E2,'Dados Perfil'!E3,F3)))</f>
        <v>4.6023809999999999E-7</v>
      </c>
    </row>
    <row r="4" spans="1:11">
      <c r="A4" s="33">
        <f>301.2/1000/1000</f>
        <v>3.0119999999999995E-4</v>
      </c>
      <c r="B4" s="33"/>
      <c r="C4" s="33"/>
      <c r="D4" s="33">
        <f>460.4/1000/1000</f>
        <v>4.6039999999999997E-4</v>
      </c>
      <c r="E4" s="33">
        <f>678/1000/1000</f>
        <v>6.78E-4</v>
      </c>
      <c r="F4" s="67">
        <v>1.056888E-3</v>
      </c>
      <c r="G4" s="33"/>
      <c r="H4" s="2" t="s">
        <v>172</v>
      </c>
      <c r="K4">
        <f>IF(Resumo!$B$10='Dados Perfil'!A2,'Dados Perfil'!A4,IF(Resumo!$B$10='Dados Perfil'!D2,'Dados Perfil'!D4,IF(Resumo!$B$10='Dados Perfil'!E2,'Dados Perfil'!E4,F4)))</f>
        <v>1.056888E-3</v>
      </c>
    </row>
    <row r="5" spans="1:11">
      <c r="A5">
        <f>1.3/1000</f>
        <v>1.2999999999999999E-3</v>
      </c>
      <c r="D5">
        <f>1.5/1000</f>
        <v>1.5E-3</v>
      </c>
      <c r="E5">
        <f>2/1000</f>
        <v>2E-3</v>
      </c>
      <c r="F5">
        <f>3/1000</f>
        <v>3.0000000000000001E-3</v>
      </c>
      <c r="H5" s="2" t="s">
        <v>171</v>
      </c>
      <c r="K5">
        <f>IF(Resumo!$B$10='Dados Perfil'!A2,'Dados Perfil'!A5,IF(Resumo!$B$10='Dados Perfil'!D2,'Dados Perfil'!D5,IF(Resumo!$B$10='Dados Perfil'!E2,'Dados Perfil'!E5,F5)))</f>
        <v>3.0000000000000001E-3</v>
      </c>
    </row>
    <row r="6" spans="1:11">
      <c r="A6" s="4">
        <f>+A4*1000*1000/0.112</f>
        <v>2689.2857142857142</v>
      </c>
      <c r="B6" s="4"/>
      <c r="C6" s="4"/>
      <c r="D6" s="4">
        <f>+D4*1000*1000/0.14</f>
        <v>3288.571428571428</v>
      </c>
      <c r="E6" s="4">
        <f>+E4*1000*1000/0.14</f>
        <v>4842.8571428571422</v>
      </c>
      <c r="F6" s="4">
        <f>+F4*1000*1000/0.168</f>
        <v>6291.0000000000009</v>
      </c>
      <c r="G6" s="4"/>
      <c r="H6" s="2" t="s">
        <v>173</v>
      </c>
      <c r="K6">
        <f>IF(Resumo!$B$10='Dados Perfil'!A2,'Dados Perfil'!A6,IF(Resumo!$B$10='Dados Perfil'!D2,'Dados Perfil'!D6,IF(Resumo!$B$10='Dados Perfil'!E2,'Dados Perfil'!E6,F6)))</f>
        <v>6291.0000000000009</v>
      </c>
    </row>
    <row r="8" spans="1:11">
      <c r="A8" s="52"/>
      <c r="B8" s="52"/>
      <c r="C8" s="52"/>
      <c r="D8" s="52"/>
      <c r="E8" s="52"/>
      <c r="F8" s="52"/>
      <c r="G8" s="52"/>
    </row>
    <row r="9" spans="1:11">
      <c r="A9" s="52"/>
      <c r="B9" s="52"/>
      <c r="C9" s="52"/>
      <c r="D9" s="52"/>
      <c r="E9" s="52"/>
      <c r="F9" s="52"/>
      <c r="G9" s="52"/>
    </row>
    <row r="10" spans="1:11">
      <c r="A10" s="63" t="s">
        <v>169</v>
      </c>
      <c r="B10" s="63"/>
      <c r="C10" s="63"/>
      <c r="D10" s="64" t="s">
        <v>174</v>
      </c>
      <c r="E10" s="52"/>
      <c r="F10" s="52"/>
      <c r="G10" s="52"/>
    </row>
    <row r="11" spans="1:11">
      <c r="A11" s="52">
        <v>0.3</v>
      </c>
      <c r="B11" s="52">
        <f>+A11*1.25+0.3</f>
        <v>0.67500000000000004</v>
      </c>
      <c r="C11" s="52">
        <f>+A11+0.4</f>
        <v>0.7</v>
      </c>
      <c r="D11" s="52">
        <f>MAX(B11:C11)</f>
        <v>0.7</v>
      </c>
      <c r="E11" s="52"/>
      <c r="F11" s="52"/>
      <c r="G11" s="52"/>
    </row>
    <row r="12" spans="1:11">
      <c r="A12" s="52">
        <v>0.4</v>
      </c>
      <c r="B12" s="52">
        <f t="shared" ref="B12:B25" si="0">+A12*1.25+0.3</f>
        <v>0.8</v>
      </c>
      <c r="C12" s="52">
        <f t="shared" ref="C12:C25" si="1">+A12+0.4</f>
        <v>0.8</v>
      </c>
      <c r="D12" s="52">
        <f t="shared" ref="D12:D25" si="2">MAX(B12:C12)</f>
        <v>0.8</v>
      </c>
      <c r="E12" s="52"/>
      <c r="F12" s="52"/>
      <c r="G12" s="52"/>
    </row>
    <row r="13" spans="1:11">
      <c r="A13" s="52">
        <v>0.5</v>
      </c>
      <c r="B13" s="52">
        <f t="shared" si="0"/>
        <v>0.92500000000000004</v>
      </c>
      <c r="C13" s="52">
        <f t="shared" si="1"/>
        <v>0.9</v>
      </c>
      <c r="D13" s="52">
        <f t="shared" si="2"/>
        <v>0.92500000000000004</v>
      </c>
      <c r="E13" s="52"/>
      <c r="F13" s="52"/>
      <c r="G13" s="52"/>
    </row>
    <row r="14" spans="1:11">
      <c r="A14" s="52">
        <v>0.6</v>
      </c>
      <c r="B14" s="52">
        <f t="shared" si="0"/>
        <v>1.05</v>
      </c>
      <c r="C14" s="52">
        <f t="shared" si="1"/>
        <v>1</v>
      </c>
      <c r="D14" s="52">
        <f t="shared" si="2"/>
        <v>1.05</v>
      </c>
      <c r="E14" s="52"/>
      <c r="F14" s="52"/>
      <c r="G14" s="52"/>
    </row>
    <row r="15" spans="1:11">
      <c r="A15" s="52">
        <v>0.7</v>
      </c>
      <c r="B15" s="52">
        <f t="shared" si="0"/>
        <v>1.175</v>
      </c>
      <c r="C15" s="52">
        <f t="shared" si="1"/>
        <v>1.1000000000000001</v>
      </c>
      <c r="D15" s="52">
        <f t="shared" si="2"/>
        <v>1.175</v>
      </c>
      <c r="E15" s="52"/>
      <c r="F15" s="52"/>
      <c r="G15" s="52"/>
    </row>
    <row r="16" spans="1:11">
      <c r="A16" s="52">
        <v>0.8</v>
      </c>
      <c r="B16" s="52">
        <f t="shared" si="0"/>
        <v>1.3</v>
      </c>
      <c r="C16" s="52">
        <f t="shared" si="1"/>
        <v>1.2000000000000002</v>
      </c>
      <c r="D16" s="52">
        <f t="shared" si="2"/>
        <v>1.3</v>
      </c>
      <c r="E16" s="52"/>
      <c r="F16" s="52"/>
      <c r="G16" s="52"/>
    </row>
    <row r="17" spans="1:7">
      <c r="A17" s="52">
        <v>0.9</v>
      </c>
      <c r="B17" s="52">
        <f t="shared" si="0"/>
        <v>1.425</v>
      </c>
      <c r="C17" s="52">
        <f t="shared" si="1"/>
        <v>1.3</v>
      </c>
      <c r="D17" s="52">
        <f t="shared" si="2"/>
        <v>1.425</v>
      </c>
      <c r="E17" s="52"/>
      <c r="F17" s="52"/>
      <c r="G17" s="52"/>
    </row>
    <row r="18" spans="1:7">
      <c r="A18" s="52">
        <v>1</v>
      </c>
      <c r="B18" s="52">
        <f t="shared" si="0"/>
        <v>1.55</v>
      </c>
      <c r="C18" s="52">
        <f t="shared" si="1"/>
        <v>1.4</v>
      </c>
      <c r="D18" s="52">
        <f t="shared" si="2"/>
        <v>1.55</v>
      </c>
      <c r="E18" s="52"/>
      <c r="F18" s="52"/>
      <c r="G18" s="52"/>
    </row>
    <row r="19" spans="1:7">
      <c r="A19" s="52">
        <v>1.1000000000000001</v>
      </c>
      <c r="B19" s="52">
        <f t="shared" si="0"/>
        <v>1.675</v>
      </c>
      <c r="C19" s="52">
        <f t="shared" si="1"/>
        <v>1.5</v>
      </c>
      <c r="D19" s="52">
        <f t="shared" si="2"/>
        <v>1.675</v>
      </c>
      <c r="E19" s="52"/>
      <c r="F19" s="52"/>
      <c r="G19" s="52"/>
    </row>
    <row r="20" spans="1:7">
      <c r="A20" s="52">
        <v>1.2</v>
      </c>
      <c r="B20" s="52">
        <f t="shared" si="0"/>
        <v>1.8</v>
      </c>
      <c r="C20" s="52">
        <f t="shared" si="1"/>
        <v>1.6</v>
      </c>
      <c r="D20" s="52">
        <f t="shared" si="2"/>
        <v>1.8</v>
      </c>
      <c r="E20" s="52"/>
      <c r="F20" s="52"/>
      <c r="G20" s="52"/>
    </row>
    <row r="21" spans="1:7">
      <c r="A21" s="52">
        <v>1.5</v>
      </c>
      <c r="B21" s="52">
        <f t="shared" si="0"/>
        <v>2.1749999999999998</v>
      </c>
      <c r="C21" s="52">
        <f t="shared" si="1"/>
        <v>1.9</v>
      </c>
      <c r="D21" s="52">
        <f t="shared" si="2"/>
        <v>2.1749999999999998</v>
      </c>
      <c r="E21" s="52"/>
      <c r="F21" s="52"/>
      <c r="G21" s="52"/>
    </row>
    <row r="22" spans="1:7">
      <c r="A22" s="52">
        <v>1.8</v>
      </c>
      <c r="B22" s="52">
        <f t="shared" si="0"/>
        <v>2.5499999999999998</v>
      </c>
      <c r="C22" s="52">
        <f t="shared" si="1"/>
        <v>2.2000000000000002</v>
      </c>
      <c r="D22" s="52">
        <f t="shared" si="2"/>
        <v>2.5499999999999998</v>
      </c>
      <c r="E22" s="52"/>
      <c r="F22" s="52"/>
      <c r="G22" s="52"/>
    </row>
    <row r="23" spans="1:7">
      <c r="A23" s="52">
        <v>2</v>
      </c>
      <c r="B23" s="52">
        <f t="shared" si="0"/>
        <v>2.8</v>
      </c>
      <c r="C23" s="52">
        <f t="shared" si="1"/>
        <v>2.4</v>
      </c>
      <c r="D23" s="52">
        <f t="shared" si="2"/>
        <v>2.8</v>
      </c>
      <c r="E23" s="52"/>
      <c r="F23" s="52"/>
      <c r="G23" s="52"/>
    </row>
    <row r="24" spans="1:7">
      <c r="A24" s="52">
        <v>2.5</v>
      </c>
      <c r="B24" s="52">
        <f t="shared" si="0"/>
        <v>3.4249999999999998</v>
      </c>
      <c r="C24" s="52">
        <f t="shared" si="1"/>
        <v>2.9</v>
      </c>
      <c r="D24" s="52">
        <f t="shared" si="2"/>
        <v>3.4249999999999998</v>
      </c>
      <c r="E24" s="52"/>
      <c r="F24" s="52"/>
      <c r="G24" s="52"/>
    </row>
    <row r="25" spans="1:7">
      <c r="A25" s="52">
        <v>3</v>
      </c>
      <c r="B25" s="52">
        <f t="shared" si="0"/>
        <v>4.05</v>
      </c>
      <c r="C25" s="52">
        <f t="shared" si="1"/>
        <v>3.4</v>
      </c>
      <c r="D25" s="52">
        <f t="shared" si="2"/>
        <v>4.05</v>
      </c>
      <c r="E25" s="52"/>
      <c r="F25" s="52"/>
      <c r="G25" s="52"/>
    </row>
    <row r="26" spans="1:7">
      <c r="A26" s="52"/>
      <c r="B26" s="52"/>
      <c r="C26" s="52"/>
      <c r="D26" s="52"/>
      <c r="E26" s="52"/>
      <c r="F26" s="52"/>
      <c r="G26" s="52"/>
    </row>
    <row r="27" spans="1:7">
      <c r="A27" s="64" t="s">
        <v>175</v>
      </c>
      <c r="B27" s="52"/>
      <c r="C27" s="52"/>
      <c r="D27" s="52"/>
      <c r="E27" s="52"/>
      <c r="F27" s="52"/>
      <c r="G27" s="52"/>
    </row>
    <row r="28" spans="1:7">
      <c r="A28" s="52"/>
      <c r="B28" s="52"/>
      <c r="C28" s="52"/>
      <c r="D28" s="52"/>
      <c r="E28" s="52"/>
      <c r="F28" s="52"/>
      <c r="G28" s="52"/>
    </row>
    <row r="29" spans="1:7">
      <c r="A29" s="64" t="s">
        <v>176</v>
      </c>
      <c r="B29" s="52"/>
      <c r="C29" s="52"/>
      <c r="D29" s="52"/>
      <c r="E29" s="52"/>
      <c r="F29" s="52"/>
      <c r="G29" s="52"/>
    </row>
    <row r="30" spans="1:7">
      <c r="A30" s="52"/>
      <c r="B30" s="52"/>
      <c r="C30" s="52"/>
      <c r="D30" s="52"/>
      <c r="E30" s="52"/>
      <c r="F30" s="52"/>
      <c r="G30" s="52"/>
    </row>
    <row r="31" spans="1:7">
      <c r="A31" s="64" t="s">
        <v>179</v>
      </c>
      <c r="B31" s="52"/>
      <c r="C31" s="52"/>
      <c r="D31" s="52"/>
      <c r="E31" s="52"/>
      <c r="F31" s="52"/>
      <c r="G31" s="52"/>
    </row>
    <row r="32" spans="1:7">
      <c r="A32" s="52"/>
      <c r="B32" s="52"/>
      <c r="C32" s="52"/>
      <c r="D32" s="52"/>
      <c r="E32" s="52"/>
      <c r="F32" s="52"/>
      <c r="G32" s="52"/>
    </row>
    <row r="33" spans="1:7">
      <c r="A33" s="64" t="s">
        <v>177</v>
      </c>
      <c r="B33" s="52"/>
      <c r="C33" s="52"/>
      <c r="D33" s="52"/>
      <c r="E33" s="52"/>
      <c r="F33" s="52"/>
      <c r="G33" s="52"/>
    </row>
    <row r="34" spans="1:7">
      <c r="A34" s="52"/>
      <c r="B34" s="52"/>
      <c r="C34" s="52"/>
      <c r="D34" s="52" t="s">
        <v>178</v>
      </c>
      <c r="E34" s="52"/>
      <c r="F34" s="52"/>
      <c r="G34" s="52"/>
    </row>
    <row r="35" spans="1:7">
      <c r="A35" s="52"/>
      <c r="B35" s="52"/>
      <c r="C35" s="52"/>
      <c r="D35" s="52"/>
      <c r="E35" s="52"/>
      <c r="F35" s="52"/>
      <c r="G35" s="52"/>
    </row>
    <row r="36" spans="1:7">
      <c r="A36" s="52"/>
      <c r="B36" s="52"/>
      <c r="C36" s="52"/>
      <c r="D36" s="52"/>
      <c r="E36" s="52"/>
      <c r="F36" s="52"/>
      <c r="G36" s="52"/>
    </row>
    <row r="37" spans="1:7">
      <c r="A37" s="52"/>
      <c r="B37" s="52"/>
      <c r="C37" s="52"/>
      <c r="D37" s="52"/>
      <c r="E37" s="52"/>
      <c r="F37" s="52"/>
      <c r="G37" s="52"/>
    </row>
  </sheetData>
  <phoneticPr fontId="0" type="noConversion"/>
  <pageMargins left="0.78740157499999996" right="0.78740157499999996" top="0.984251969" bottom="0.984251969" header="0.49212598499999999" footer="0.49212598499999999"/>
  <pageSetup paperSize="8" orientation="landscape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9"/>
  <sheetViews>
    <sheetView topLeftCell="A3" workbookViewId="0">
      <selection activeCell="C16" sqref="C16"/>
    </sheetView>
  </sheetViews>
  <sheetFormatPr defaultRowHeight="12.75"/>
  <cols>
    <col min="2" max="2" width="59.5703125" customWidth="1"/>
    <col min="3" max="3" width="14.5703125" customWidth="1"/>
    <col min="4" max="4" width="12.85546875" bestFit="1" customWidth="1"/>
    <col min="5" max="5" width="12.85546875" customWidth="1"/>
    <col min="6" max="7" width="11.42578125" bestFit="1" customWidth="1"/>
    <col min="8" max="8" width="12.42578125" bestFit="1" customWidth="1"/>
    <col min="9" max="9" width="11.28515625" bestFit="1" customWidth="1"/>
    <col min="10" max="10" width="37.42578125" customWidth="1"/>
  </cols>
  <sheetData>
    <row r="2" spans="1:7" ht="18">
      <c r="A2" s="5" t="s">
        <v>35</v>
      </c>
    </row>
    <row r="4" spans="1:7">
      <c r="B4" s="1" t="s">
        <v>79</v>
      </c>
    </row>
    <row r="5" spans="1:7">
      <c r="B5" t="s">
        <v>80</v>
      </c>
    </row>
    <row r="6" spans="1:7">
      <c r="A6" t="s">
        <v>0</v>
      </c>
    </row>
    <row r="7" spans="1:7">
      <c r="A7" s="1" t="s">
        <v>82</v>
      </c>
      <c r="B7" t="s">
        <v>37</v>
      </c>
      <c r="C7" s="15">
        <f>+C10*(cargas!E5/1000)/(8*C13+0.061*C14)</f>
        <v>1.3914578801580448E-2</v>
      </c>
      <c r="D7" t="s">
        <v>110</v>
      </c>
      <c r="G7" s="51"/>
    </row>
    <row r="8" spans="1:7">
      <c r="A8" s="1" t="s">
        <v>81</v>
      </c>
      <c r="B8" t="s">
        <v>83</v>
      </c>
      <c r="C8" s="24">
        <f>+C9*C7</f>
        <v>1.6697494561896536E-2</v>
      </c>
      <c r="D8" t="s">
        <v>42</v>
      </c>
    </row>
    <row r="9" spans="1:7">
      <c r="A9" t="s">
        <v>84</v>
      </c>
      <c r="B9" t="s">
        <v>85</v>
      </c>
      <c r="C9" s="24">
        <f>+Resumo!B8</f>
        <v>1.2</v>
      </c>
      <c r="D9" t="s">
        <v>42</v>
      </c>
    </row>
    <row r="10" spans="1:7">
      <c r="A10" t="s">
        <v>86</v>
      </c>
      <c r="B10" t="s">
        <v>87</v>
      </c>
      <c r="C10" s="12">
        <f>+Resumo!J3</f>
        <v>0.1</v>
      </c>
      <c r="F10" s="14"/>
    </row>
    <row r="11" spans="1:7">
      <c r="A11" t="s">
        <v>28</v>
      </c>
      <c r="B11" t="s">
        <v>88</v>
      </c>
      <c r="C11" s="20">
        <f>+cargas!C14</f>
        <v>1.7000000000000001E-2</v>
      </c>
      <c r="D11" t="s">
        <v>94</v>
      </c>
      <c r="E11" s="68"/>
    </row>
    <row r="12" spans="1:7">
      <c r="A12" t="s">
        <v>89</v>
      </c>
      <c r="B12" t="s">
        <v>90</v>
      </c>
      <c r="C12" s="21">
        <f>+cargas!C29</f>
        <v>4.2971834634811738E-2</v>
      </c>
      <c r="D12" t="s">
        <v>94</v>
      </c>
    </row>
    <row r="13" spans="1:7">
      <c r="A13" t="s">
        <v>91</v>
      </c>
      <c r="B13" t="s">
        <v>92</v>
      </c>
      <c r="C13" s="23">
        <f>+C16</f>
        <v>5.0000000000000001E-4</v>
      </c>
      <c r="D13" t="s">
        <v>94</v>
      </c>
    </row>
    <row r="14" spans="1:7">
      <c r="A14" t="s">
        <v>36</v>
      </c>
      <c r="B14" t="s">
        <v>93</v>
      </c>
      <c r="C14" s="25">
        <f>+Resumo!B15</f>
        <v>7</v>
      </c>
      <c r="D14" t="s">
        <v>94</v>
      </c>
    </row>
    <row r="16" spans="1:7">
      <c r="B16" t="s">
        <v>60</v>
      </c>
      <c r="C16" s="9">
        <f>IF(C9&lt;=0.6,0.0009,IF(C9&lt;=0.9,0.0007,IF(C9&lt;=1.2,0.0005,0.001)))</f>
        <v>5.0000000000000001E-4</v>
      </c>
      <c r="D16" t="s">
        <v>94</v>
      </c>
    </row>
    <row r="17" spans="2:4" ht="14.25">
      <c r="B17" t="s">
        <v>61</v>
      </c>
    </row>
    <row r="18" spans="2:4">
      <c r="B18" t="s">
        <v>62</v>
      </c>
    </row>
    <row r="19" spans="2:4">
      <c r="B19" t="s">
        <v>66</v>
      </c>
      <c r="C19" s="16">
        <f>+Resumo!J12</f>
        <v>2650</v>
      </c>
      <c r="D19" t="s">
        <v>94</v>
      </c>
    </row>
    <row r="20" spans="2:4">
      <c r="B20" t="s">
        <v>64</v>
      </c>
      <c r="C20" s="6">
        <f>+'Dados Perfil'!K3</f>
        <v>4.6023809999999999E-7</v>
      </c>
      <c r="D20" t="s">
        <v>65</v>
      </c>
    </row>
    <row r="21" spans="2:4">
      <c r="B21" t="s">
        <v>63</v>
      </c>
      <c r="C21" s="8">
        <f>+Resumo!B8</f>
        <v>1.2</v>
      </c>
      <c r="D21" t="s">
        <v>42</v>
      </c>
    </row>
    <row r="23" spans="2:4">
      <c r="B23" t="s">
        <v>127</v>
      </c>
      <c r="C23" t="str">
        <f>+Resumo!B10</f>
        <v>168BR2</v>
      </c>
    </row>
    <row r="25" spans="2:4">
      <c r="B25" t="s">
        <v>50</v>
      </c>
    </row>
    <row r="26" spans="2:4">
      <c r="B26" s="14" t="s">
        <v>57</v>
      </c>
      <c r="C26" t="s">
        <v>58</v>
      </c>
      <c r="D26" t="s">
        <v>59</v>
      </c>
    </row>
    <row r="27" spans="2:4">
      <c r="B27" s="14" t="s">
        <v>52</v>
      </c>
      <c r="C27" t="s">
        <v>51</v>
      </c>
    </row>
    <row r="28" spans="2:4">
      <c r="B28" s="14" t="s">
        <v>52</v>
      </c>
      <c r="C28" t="s">
        <v>53</v>
      </c>
    </row>
    <row r="29" spans="2:4">
      <c r="B29" s="14" t="s">
        <v>54</v>
      </c>
      <c r="C29" t="s">
        <v>55</v>
      </c>
      <c r="D29" t="s">
        <v>56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workbookViewId="0">
      <selection activeCell="C7" sqref="C7"/>
    </sheetView>
  </sheetViews>
  <sheetFormatPr defaultRowHeight="12.75"/>
  <cols>
    <col min="2" max="2" width="46" customWidth="1"/>
    <col min="3" max="3" width="14.5703125" customWidth="1"/>
    <col min="4" max="4" width="12.85546875" customWidth="1"/>
    <col min="5" max="6" width="11.42578125" customWidth="1"/>
    <col min="7" max="7" width="12.42578125" customWidth="1"/>
    <col min="8" max="8" width="11.28515625" customWidth="1"/>
    <col min="9" max="9" width="37.42578125" customWidth="1"/>
  </cols>
  <sheetData>
    <row r="1" spans="1:6" ht="15.75">
      <c r="A1" s="3" t="s">
        <v>95</v>
      </c>
    </row>
    <row r="3" spans="1:6">
      <c r="A3" s="2" t="s">
        <v>7</v>
      </c>
    </row>
    <row r="4" spans="1:6">
      <c r="B4" t="s">
        <v>6</v>
      </c>
    </row>
    <row r="5" spans="1:6">
      <c r="D5" t="s">
        <v>134</v>
      </c>
      <c r="E5" s="33">
        <f>+E7+E29</f>
        <v>59.971834634811735</v>
      </c>
      <c r="F5" t="s">
        <v>115</v>
      </c>
    </row>
    <row r="6" spans="1:6">
      <c r="A6" t="s">
        <v>0</v>
      </c>
    </row>
    <row r="7" spans="1:6">
      <c r="A7" t="s">
        <v>1</v>
      </c>
      <c r="B7" t="s">
        <v>12</v>
      </c>
      <c r="C7" s="18">
        <f>+C8*C9*C10/1000000</f>
        <v>1.7000000000000001E-2</v>
      </c>
      <c r="D7" t="s">
        <v>94</v>
      </c>
      <c r="E7" s="28">
        <f>+C7*1000</f>
        <v>17</v>
      </c>
      <c r="F7" t="s">
        <v>115</v>
      </c>
    </row>
    <row r="8" spans="1:6" ht="14.25">
      <c r="A8" s="1" t="s">
        <v>2</v>
      </c>
      <c r="B8" t="s">
        <v>14</v>
      </c>
      <c r="C8" s="7">
        <f>+Resumo!B5</f>
        <v>1700</v>
      </c>
      <c r="D8" t="s">
        <v>39</v>
      </c>
    </row>
    <row r="9" spans="1:6" ht="14.25">
      <c r="A9" t="s">
        <v>3</v>
      </c>
      <c r="B9" t="s">
        <v>9</v>
      </c>
      <c r="C9" s="7">
        <v>10</v>
      </c>
      <c r="D9" t="s">
        <v>40</v>
      </c>
    </row>
    <row r="10" spans="1:6">
      <c r="A10" t="s">
        <v>4</v>
      </c>
      <c r="B10" t="s">
        <v>5</v>
      </c>
      <c r="C10" s="8">
        <f>+Resumo!B3</f>
        <v>1</v>
      </c>
      <c r="D10" t="s">
        <v>42</v>
      </c>
    </row>
    <row r="13" spans="1:6">
      <c r="A13" s="2" t="s">
        <v>8</v>
      </c>
    </row>
    <row r="14" spans="1:6" ht="15.75">
      <c r="B14" t="s">
        <v>41</v>
      </c>
      <c r="C14" s="19">
        <f>(+C8*C9*C17+(C10-C17)*C18*C9)/1000000</f>
        <v>1.7000000000000001E-2</v>
      </c>
      <c r="D14" t="s">
        <v>94</v>
      </c>
      <c r="E14" s="4">
        <f>+C14*1000000</f>
        <v>17000</v>
      </c>
      <c r="F14" t="s">
        <v>38</v>
      </c>
    </row>
    <row r="16" spans="1:6">
      <c r="A16" t="s">
        <v>0</v>
      </c>
    </row>
    <row r="17" spans="1:6">
      <c r="A17" t="s">
        <v>10</v>
      </c>
      <c r="B17" t="s">
        <v>11</v>
      </c>
      <c r="C17" s="6">
        <f>+Resumo!B4</f>
        <v>1</v>
      </c>
      <c r="D17" t="s">
        <v>42</v>
      </c>
    </row>
    <row r="18" spans="1:6" ht="15.75">
      <c r="A18" s="1" t="s">
        <v>15</v>
      </c>
      <c r="B18" t="s">
        <v>13</v>
      </c>
      <c r="C18" s="10">
        <f>+Resumo!B6</f>
        <v>1700</v>
      </c>
      <c r="D18" t="s">
        <v>39</v>
      </c>
    </row>
    <row r="20" spans="1:6">
      <c r="A20" t="s">
        <v>16</v>
      </c>
    </row>
    <row r="21" spans="1:6">
      <c r="B21" t="s">
        <v>17</v>
      </c>
    </row>
    <row r="22" spans="1:6" ht="14.25">
      <c r="B22" t="s">
        <v>24</v>
      </c>
      <c r="C22" s="17" t="s">
        <v>22</v>
      </c>
      <c r="D22" s="4">
        <v>1700</v>
      </c>
      <c r="E22" t="s">
        <v>39</v>
      </c>
    </row>
    <row r="23" spans="1:6" ht="14.25">
      <c r="B23" t="s">
        <v>18</v>
      </c>
      <c r="C23" s="17" t="s">
        <v>22</v>
      </c>
      <c r="D23" s="4">
        <v>1900</v>
      </c>
      <c r="E23" t="s">
        <v>39</v>
      </c>
    </row>
    <row r="24" spans="1:6" ht="15.75">
      <c r="B24" t="s">
        <v>19</v>
      </c>
      <c r="C24" s="17" t="s">
        <v>23</v>
      </c>
      <c r="D24" s="4">
        <v>2000</v>
      </c>
      <c r="E24" t="s">
        <v>39</v>
      </c>
    </row>
    <row r="25" spans="1:6" ht="14.25">
      <c r="B25" t="s">
        <v>20</v>
      </c>
      <c r="C25" s="17" t="s">
        <v>22</v>
      </c>
      <c r="D25" s="4">
        <v>2100</v>
      </c>
      <c r="E25" t="s">
        <v>39</v>
      </c>
    </row>
    <row r="26" spans="1:6" ht="15.75">
      <c r="B26" t="s">
        <v>21</v>
      </c>
      <c r="C26" s="17" t="s">
        <v>23</v>
      </c>
      <c r="D26" s="4">
        <v>2200</v>
      </c>
      <c r="E26" t="s">
        <v>39</v>
      </c>
    </row>
    <row r="28" spans="1:6">
      <c r="A28" s="2"/>
    </row>
    <row r="29" spans="1:6">
      <c r="B29" t="s">
        <v>27</v>
      </c>
      <c r="C29" s="22">
        <f>+C31*C32*C33*1000/1000000</f>
        <v>4.2971834634811738E-2</v>
      </c>
      <c r="D29" t="s">
        <v>94</v>
      </c>
      <c r="E29" s="50">
        <f>+C29*1000</f>
        <v>42.971834634811735</v>
      </c>
      <c r="F29" t="s">
        <v>115</v>
      </c>
    </row>
    <row r="30" spans="1:6">
      <c r="A30" t="s">
        <v>0</v>
      </c>
      <c r="E30" s="4">
        <f>+E29*1000</f>
        <v>42971.834634811734</v>
      </c>
      <c r="F30" t="s">
        <v>38</v>
      </c>
    </row>
    <row r="31" spans="1:6">
      <c r="A31" t="s">
        <v>25</v>
      </c>
      <c r="B31" t="s">
        <v>29</v>
      </c>
      <c r="C31" s="13">
        <f>3/(2*PI()*C10^2)</f>
        <v>0.47746482927568601</v>
      </c>
    </row>
    <row r="32" spans="1:6">
      <c r="A32" t="s">
        <v>26</v>
      </c>
      <c r="B32" t="s">
        <v>30</v>
      </c>
      <c r="C32" s="7">
        <f>+Resumo!J4</f>
        <v>1.5</v>
      </c>
    </row>
    <row r="33" spans="1:5">
      <c r="A33" t="s">
        <v>28</v>
      </c>
      <c r="B33" t="s">
        <v>49</v>
      </c>
      <c r="C33" s="11">
        <f>+Resumo!B7*Resumo!J11</f>
        <v>60</v>
      </c>
      <c r="D33" t="s">
        <v>48</v>
      </c>
    </row>
    <row r="36" spans="1:5">
      <c r="B36" t="s">
        <v>43</v>
      </c>
    </row>
    <row r="37" spans="1:5">
      <c r="B37" t="s">
        <v>44</v>
      </c>
      <c r="C37">
        <v>60</v>
      </c>
      <c r="D37" t="s">
        <v>48</v>
      </c>
    </row>
    <row r="38" spans="1:5">
      <c r="B38" t="s">
        <v>45</v>
      </c>
      <c r="C38">
        <v>100</v>
      </c>
      <c r="D38" t="s">
        <v>48</v>
      </c>
    </row>
    <row r="39" spans="1:5">
      <c r="B39" t="s">
        <v>46</v>
      </c>
      <c r="C39">
        <v>170</v>
      </c>
      <c r="D39" t="s">
        <v>48</v>
      </c>
    </row>
    <row r="40" spans="1:5">
      <c r="B40" t="s">
        <v>47</v>
      </c>
      <c r="C40">
        <v>255</v>
      </c>
      <c r="D40" t="s">
        <v>48</v>
      </c>
    </row>
    <row r="42" spans="1:5">
      <c r="B42" s="2" t="s">
        <v>31</v>
      </c>
      <c r="C42" t="s">
        <v>32</v>
      </c>
      <c r="D42">
        <v>1.5</v>
      </c>
      <c r="E42" t="s">
        <v>33</v>
      </c>
    </row>
    <row r="43" spans="1:5">
      <c r="C43" t="s">
        <v>32</v>
      </c>
      <c r="D43">
        <v>1.75</v>
      </c>
      <c r="E43" t="s">
        <v>34</v>
      </c>
    </row>
    <row r="46" spans="1:5">
      <c r="B46" t="s">
        <v>50</v>
      </c>
    </row>
    <row r="47" spans="1:5">
      <c r="B47" s="14" t="s">
        <v>57</v>
      </c>
      <c r="C47" t="s">
        <v>58</v>
      </c>
      <c r="D47" t="s">
        <v>59</v>
      </c>
    </row>
    <row r="48" spans="1:5">
      <c r="B48" s="14" t="s">
        <v>52</v>
      </c>
      <c r="C48" t="s">
        <v>51</v>
      </c>
    </row>
    <row r="49" spans="2:4">
      <c r="B49" s="14" t="s">
        <v>52</v>
      </c>
      <c r="C49" t="s">
        <v>53</v>
      </c>
    </row>
    <row r="50" spans="2:4">
      <c r="B50" s="14" t="s">
        <v>54</v>
      </c>
      <c r="C50" t="s">
        <v>55</v>
      </c>
      <c r="D50" t="s">
        <v>56</v>
      </c>
    </row>
  </sheetData>
  <phoneticPr fontId="0" type="noConversion"/>
  <pageMargins left="0.32" right="0.36" top="0.984251969" bottom="0.984251969" header="0.49212598499999999" footer="0.49212598499999999"/>
  <pageSetup paperSize="9"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O34" sqref="O34:O37"/>
    </sheetView>
  </sheetViews>
  <sheetFormatPr defaultRowHeight="12.75"/>
  <cols>
    <col min="2" max="2" width="70.85546875" customWidth="1"/>
    <col min="3" max="3" width="9.5703125" bestFit="1" customWidth="1"/>
    <col min="6" max="6" width="10.5703125" bestFit="1" customWidth="1"/>
  </cols>
  <sheetData>
    <row r="1" spans="1:6" ht="18">
      <c r="A1" s="5" t="s">
        <v>67</v>
      </c>
    </row>
    <row r="3" spans="1:6">
      <c r="B3" s="1" t="s">
        <v>68</v>
      </c>
    </row>
    <row r="4" spans="1:6">
      <c r="B4" t="s">
        <v>69</v>
      </c>
    </row>
    <row r="5" spans="1:6">
      <c r="A5" s="1" t="s">
        <v>70</v>
      </c>
      <c r="B5" t="s">
        <v>71</v>
      </c>
      <c r="C5" s="32">
        <f>+(cargas!C14+cargas!C29)*C7/(2*C6)</f>
        <v>5.7197744048461345</v>
      </c>
      <c r="D5" t="s">
        <v>74</v>
      </c>
    </row>
    <row r="6" spans="1:6" ht="14.25">
      <c r="A6" t="s">
        <v>72</v>
      </c>
      <c r="B6" t="s">
        <v>73</v>
      </c>
      <c r="C6" s="35">
        <f>'Dados Perfil'!K6/1000/1000</f>
        <v>6.2910000000000015E-3</v>
      </c>
      <c r="D6" t="s">
        <v>109</v>
      </c>
    </row>
    <row r="7" spans="1:6">
      <c r="A7" t="s">
        <v>136</v>
      </c>
      <c r="B7" t="s">
        <v>137</v>
      </c>
      <c r="C7" s="8">
        <f>+Resumo!B8</f>
        <v>1.2</v>
      </c>
      <c r="D7" t="s">
        <v>75</v>
      </c>
    </row>
    <row r="10" spans="1:6">
      <c r="B10" t="s">
        <v>111</v>
      </c>
    </row>
    <row r="12" spans="1:6">
      <c r="B12" t="s">
        <v>144</v>
      </c>
      <c r="C12" s="59">
        <f>IF(Resumo!B8&lt;1.5,+Resumo!J5,Resumo!J6)</f>
        <v>2</v>
      </c>
    </row>
    <row r="14" spans="1:6">
      <c r="B14" t="s">
        <v>145</v>
      </c>
      <c r="C14" s="38">
        <f>+C5</f>
        <v>5.7197744048461345</v>
      </c>
      <c r="D14" s="29" t="s">
        <v>149</v>
      </c>
      <c r="E14" s="29">
        <f>Resumo!J10/C12</f>
        <v>17.5</v>
      </c>
      <c r="F14" t="s">
        <v>150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workbookViewId="0">
      <selection activeCell="F19" sqref="F19"/>
    </sheetView>
  </sheetViews>
  <sheetFormatPr defaultRowHeight="12.75"/>
  <sheetData>
    <row r="1" spans="1:7" ht="18">
      <c r="A1" s="5" t="s">
        <v>76</v>
      </c>
    </row>
    <row r="3" spans="1:7">
      <c r="A3" t="s">
        <v>77</v>
      </c>
    </row>
    <row r="4" spans="1:7" ht="15.75">
      <c r="C4" s="26" t="s">
        <v>100</v>
      </c>
      <c r="E4" t="s">
        <v>155</v>
      </c>
    </row>
    <row r="5" spans="1:7" ht="14.25">
      <c r="C5" t="s">
        <v>97</v>
      </c>
      <c r="E5" t="s">
        <v>156</v>
      </c>
    </row>
    <row r="6" spans="1:7" ht="15.75">
      <c r="A6" t="s">
        <v>96</v>
      </c>
      <c r="B6" t="s">
        <v>78</v>
      </c>
      <c r="F6" s="6">
        <f>24*defor!C13/(1-F7^2)</f>
        <v>1.4025245441795231E-2</v>
      </c>
      <c r="G6" t="s">
        <v>94</v>
      </c>
    </row>
    <row r="7" spans="1:7">
      <c r="A7" s="26" t="s">
        <v>98</v>
      </c>
      <c r="B7" t="s">
        <v>99</v>
      </c>
      <c r="F7" s="8">
        <f>+Resumo!J8</f>
        <v>0.38</v>
      </c>
    </row>
    <row r="11" spans="1:7" ht="15.75">
      <c r="C11" s="26" t="s">
        <v>101</v>
      </c>
      <c r="F11" s="27">
        <f>1.15*(F6*defor!C14)^0.5</f>
        <v>0.36033138869299092</v>
      </c>
      <c r="G11" t="s">
        <v>94</v>
      </c>
    </row>
    <row r="13" spans="1:7" ht="15.75">
      <c r="A13" s="26" t="s">
        <v>112</v>
      </c>
      <c r="B13" t="s">
        <v>113</v>
      </c>
    </row>
    <row r="14" spans="1:7">
      <c r="A14" s="26"/>
    </row>
    <row r="15" spans="1:7">
      <c r="B15" t="s">
        <v>151</v>
      </c>
      <c r="C15" t="s">
        <v>114</v>
      </c>
      <c r="D15">
        <f>+cargas!C14+cargas!C29</f>
        <v>5.997183463481174E-2</v>
      </c>
      <c r="E15" t="s">
        <v>94</v>
      </c>
    </row>
    <row r="16" spans="1:7">
      <c r="F16" s="30">
        <f>1-1/(+F21/D15)</f>
        <v>0.66712955619911951</v>
      </c>
    </row>
    <row r="19" spans="2:7">
      <c r="B19" t="s">
        <v>147</v>
      </c>
      <c r="F19" s="59">
        <f>+Resumo!J7</f>
        <v>2</v>
      </c>
    </row>
    <row r="21" spans="2:7">
      <c r="B21" t="s">
        <v>148</v>
      </c>
      <c r="F21">
        <f>+F11/F19</f>
        <v>0.18016569434649546</v>
      </c>
      <c r="G21" t="s">
        <v>94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workbookViewId="0">
      <selection activeCell="I11" sqref="I11"/>
    </sheetView>
  </sheetViews>
  <sheetFormatPr defaultRowHeight="12.75"/>
  <cols>
    <col min="7" max="7" width="9.28515625" bestFit="1" customWidth="1"/>
  </cols>
  <sheetData>
    <row r="1" spans="1:9" ht="18">
      <c r="A1" s="5" t="s">
        <v>102</v>
      </c>
    </row>
    <row r="3" spans="1:9">
      <c r="B3" s="1" t="s">
        <v>104</v>
      </c>
    </row>
    <row r="4" spans="1:9">
      <c r="B4" t="s">
        <v>103</v>
      </c>
    </row>
    <row r="6" spans="1:9">
      <c r="A6" s="1" t="s">
        <v>105</v>
      </c>
      <c r="B6" t="s">
        <v>106</v>
      </c>
      <c r="G6" s="31">
        <f>(+cargas!C14+cargas!C29)*Esmagamento!C7/(2*G7*defor!C19)+G7/Esmagamento!C7*(3*defor!C7)/(1-2*defor!C7)</f>
        <v>4.6335229083626743E-3</v>
      </c>
    </row>
    <row r="7" spans="1:9">
      <c r="A7" t="s">
        <v>107</v>
      </c>
      <c r="B7" t="s">
        <v>108</v>
      </c>
      <c r="G7" s="27">
        <f>+'Dados Perfil'!K5</f>
        <v>3.0000000000000001E-3</v>
      </c>
    </row>
    <row r="11" spans="1:9">
      <c r="C11" t="s">
        <v>146</v>
      </c>
      <c r="G11" s="60">
        <f>+G6</f>
        <v>4.6335229083626743E-3</v>
      </c>
      <c r="H11" s="61" t="s">
        <v>152</v>
      </c>
      <c r="I11" s="62">
        <f>Resumo!J9</f>
        <v>2.5000000000000001E-2</v>
      </c>
    </row>
  </sheetData>
  <phoneticPr fontId="0" type="noConversion"/>
  <pageMargins left="0.78740157499999996" right="0.78740157499999996" top="0.984251969" bottom="0.984251969" header="0.49212598499999999" footer="0.49212598499999999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Dados Perfil</vt:lpstr>
      <vt:lpstr>defor</vt:lpstr>
      <vt:lpstr>cargas</vt:lpstr>
      <vt:lpstr>Esmagamento</vt:lpstr>
      <vt:lpstr>Flambagem</vt:lpstr>
      <vt:lpstr>Deformacao parede</vt:lpstr>
    </vt:vector>
  </TitlesOfParts>
  <Company>Vettore Engenharia Ltda.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Vettore Engenharia Ltda.</dc:creator>
  <cp:lastModifiedBy>Marco Antonio Mathia</cp:lastModifiedBy>
  <cp:lastPrinted>2007-07-26T13:49:58Z</cp:lastPrinted>
  <dcterms:created xsi:type="dcterms:W3CDTF">1999-02-25T14:11:01Z</dcterms:created>
  <dcterms:modified xsi:type="dcterms:W3CDTF">2010-06-08T19:32:19Z</dcterms:modified>
</cp:coreProperties>
</file>